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05195441-0769-49D6-8133-4C1F74D1782A}" xr6:coauthVersionLast="47" xr6:coauthVersionMax="47" xr10:uidLastSave="{00000000-0000-0000-0000-000000000000}"/>
  <bookViews>
    <workbookView xWindow="-120" yWindow="-120" windowWidth="20730" windowHeight="11160" tabRatio="689" firstSheet="1" activeTab="1" xr2:uid="{00000000-000D-0000-FFFF-FFFF00000000}"/>
  </bookViews>
  <sheets>
    <sheet name="Лист2" sheetId="9" state="hidden" r:id="rId1"/>
    <sheet name="обобщена" sheetId="10" r:id="rId2"/>
    <sheet name="Лист4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0" l="1"/>
  <c r="D23" i="10"/>
  <c r="D22" i="10"/>
  <c r="D21" i="10"/>
  <c r="D20" i="10"/>
  <c r="D19" i="10"/>
  <c r="D15" i="10"/>
  <c r="D14" i="10"/>
  <c r="D13" i="10"/>
  <c r="D12" i="10"/>
  <c r="D11" i="10"/>
  <c r="D10" i="10"/>
  <c r="D9" i="10"/>
  <c r="D8" i="10"/>
  <c r="D7" i="10"/>
  <c r="K41" i="10"/>
  <c r="H22" i="10"/>
  <c r="H20" i="10"/>
  <c r="G34" i="10"/>
  <c r="E26" i="10"/>
  <c r="Q26" i="10" s="1"/>
  <c r="G38" i="10"/>
  <c r="G37" i="10"/>
  <c r="G36" i="10"/>
  <c r="G35" i="10"/>
  <c r="G31" i="10"/>
  <c r="F38" i="10"/>
  <c r="Q38" i="10" s="1"/>
  <c r="F37" i="10"/>
  <c r="F36" i="10"/>
  <c r="Q36" i="10" s="1"/>
  <c r="F35" i="10"/>
  <c r="F34" i="10"/>
  <c r="Q34" i="10" s="1"/>
  <c r="F33" i="10"/>
  <c r="Q33" i="10" s="1"/>
  <c r="F32" i="10"/>
  <c r="Q32" i="10" s="1"/>
  <c r="F31" i="10"/>
  <c r="Q31" i="10" s="1"/>
  <c r="D29" i="10"/>
  <c r="Q29" i="10" s="1"/>
  <c r="Q28" i="10" s="1"/>
  <c r="E27" i="10"/>
  <c r="Q27" i="10" s="1"/>
  <c r="M24" i="10"/>
  <c r="M23" i="10"/>
  <c r="M22" i="10"/>
  <c r="M21" i="10"/>
  <c r="M20" i="10"/>
  <c r="M19" i="10"/>
  <c r="L20" i="10"/>
  <c r="L19" i="10"/>
  <c r="I19" i="10"/>
  <c r="I24" i="10"/>
  <c r="I23" i="10"/>
  <c r="I22" i="10"/>
  <c r="I21" i="10"/>
  <c r="I20" i="10"/>
  <c r="H21" i="10"/>
  <c r="H24" i="10"/>
  <c r="H23" i="10"/>
  <c r="H19" i="10"/>
  <c r="E21" i="10"/>
  <c r="Q21" i="10" s="1"/>
  <c r="E24" i="10"/>
  <c r="E23" i="10"/>
  <c r="E22" i="10"/>
  <c r="E20" i="10"/>
  <c r="E19" i="10"/>
  <c r="O17" i="10"/>
  <c r="L17" i="10"/>
  <c r="H17" i="10"/>
  <c r="Q17" i="10" s="1"/>
  <c r="Q16" i="10" s="1"/>
  <c r="E17" i="10"/>
  <c r="P10" i="10"/>
  <c r="P9" i="10"/>
  <c r="P8" i="10"/>
  <c r="P7" i="10"/>
  <c r="P15" i="10"/>
  <c r="P14" i="10"/>
  <c r="P13" i="10"/>
  <c r="P12" i="10"/>
  <c r="P11" i="10"/>
  <c r="H13" i="10"/>
  <c r="H12" i="10"/>
  <c r="H10" i="10"/>
  <c r="H9" i="10"/>
  <c r="Q9" i="10" s="1"/>
  <c r="H15" i="10"/>
  <c r="H7" i="10"/>
  <c r="J41" i="10"/>
  <c r="H14" i="10"/>
  <c r="Q14" i="10" s="1"/>
  <c r="H11" i="10"/>
  <c r="H8" i="10"/>
  <c r="Q8" i="10" l="1"/>
  <c r="Q12" i="10"/>
  <c r="Q19" i="10"/>
  <c r="Q18" i="10" s="1"/>
  <c r="Q15" i="10"/>
  <c r="Q24" i="10"/>
  <c r="Q35" i="10"/>
  <c r="Q30" i="10" s="1"/>
  <c r="Q37" i="10"/>
  <c r="Q25" i="10"/>
  <c r="F41" i="10"/>
  <c r="Q10" i="10"/>
  <c r="Q23" i="10"/>
  <c r="Q7" i="10"/>
  <c r="Q11" i="10"/>
  <c r="Q13" i="10"/>
  <c r="Q20" i="10"/>
  <c r="Q22" i="10"/>
  <c r="D41" i="10"/>
  <c r="G41" i="10"/>
  <c r="L41" i="10"/>
  <c r="I41" i="10"/>
  <c r="E41" i="10"/>
  <c r="P41" i="10"/>
  <c r="H41" i="10"/>
  <c r="Q6" i="10" l="1"/>
  <c r="G1" i="11"/>
  <c r="H8" i="11" s="1"/>
  <c r="D12" i="11"/>
  <c r="A12" i="11"/>
  <c r="M41" i="10"/>
  <c r="N41" i="10"/>
  <c r="O41" i="10"/>
  <c r="H1" i="11" l="1"/>
  <c r="H3" i="11"/>
  <c r="H5" i="11"/>
  <c r="H7" i="11"/>
  <c r="H9" i="11"/>
  <c r="H2" i="11"/>
  <c r="H4" i="11"/>
  <c r="H6" i="11"/>
  <c r="H10" i="11" l="1"/>
  <c r="Q40" i="10" l="1"/>
  <c r="Q39" i="10" s="1"/>
  <c r="Q41" i="10" s="1"/>
  <c r="Q13" i="9" l="1"/>
  <c r="Q9" i="9"/>
  <c r="Q8" i="9"/>
  <c r="R8" i="9" s="1"/>
  <c r="Q7" i="9"/>
  <c r="R7" i="9" s="1"/>
  <c r="Q6" i="9"/>
  <c r="Q5" i="9"/>
  <c r="Q4" i="9"/>
  <c r="Q3" i="9"/>
  <c r="R3" i="9" s="1"/>
  <c r="Q2" i="9"/>
  <c r="Q14" i="9" s="1"/>
  <c r="R10" i="9"/>
  <c r="R9" i="9"/>
  <c r="R6" i="9"/>
  <c r="R5" i="9"/>
  <c r="R4" i="9"/>
  <c r="R14" i="9" l="1"/>
  <c r="R15" i="9" s="1"/>
  <c r="R17" i="9" s="1"/>
  <c r="Q16" i="9"/>
</calcChain>
</file>

<file path=xl/sharedStrings.xml><?xml version="1.0" encoding="utf-8"?>
<sst xmlns="http://schemas.openxmlformats.org/spreadsheetml/2006/main" count="98" uniqueCount="75">
  <si>
    <t xml:space="preserve">Норматив за ученик на ресурсно подпомагане </t>
  </si>
  <si>
    <t xml:space="preserve">Норматив за подпомагане храненето на децата от ПГ в детските градини и училищата и учениците от І-ІV кл. </t>
  </si>
  <si>
    <t xml:space="preserve">Норматив за осигуряване на целодневна организация на учебния ден за обхванатите ученици от І до VII клас </t>
  </si>
  <si>
    <t xml:space="preserve"> </t>
  </si>
  <si>
    <t>ВСИЧКО</t>
  </si>
  <si>
    <t>ЦСОП "ХЕЛА"</t>
  </si>
  <si>
    <t>Допълващ стандарт за ученик в дневна форма на обучение в първи и втори гимназиален етап</t>
  </si>
  <si>
    <t>311 - детски градини</t>
  </si>
  <si>
    <t>318 - подготвителна полудневна група в училище</t>
  </si>
  <si>
    <t>322 - неспециализирани училища</t>
  </si>
  <si>
    <t>321 - ЦСОП</t>
  </si>
  <si>
    <t>326 - професионални гимназии</t>
  </si>
  <si>
    <t>332 - общежития</t>
  </si>
  <si>
    <t>338 - приобщаващо образование</t>
  </si>
  <si>
    <t>неразпределен резерв в ПРБ</t>
  </si>
  <si>
    <t>стандарт институция, стандарт паралелка, стандарт ученик, средства регионален коефициент</t>
  </si>
  <si>
    <t>индивидуална форма на обучение</t>
  </si>
  <si>
    <t>Допълващ стандарт за материална база</t>
  </si>
  <si>
    <t>Норматив за създаване на условия за приобщаващо образование</t>
  </si>
  <si>
    <t xml:space="preserve">Норматив за стипендии </t>
  </si>
  <si>
    <t>Средства за занимания по интереси</t>
  </si>
  <si>
    <t>вечерна форма на обучение</t>
  </si>
  <si>
    <t>ДЕЙНОСТИ "ОБРАЗОВАНИЕ"</t>
  </si>
  <si>
    <t>самостоятелна форма на обучение</t>
  </si>
  <si>
    <t>ОДК</t>
  </si>
  <si>
    <t>12% от средства за занимания по интереси в ПРБ</t>
  </si>
  <si>
    <t>Допълващ стандарт за поддръжка на автобуси в ПРБ</t>
  </si>
  <si>
    <t>Норматив за ученик, записан в неспециализирано училище, обучаващ се в ЦСОП</t>
  </si>
  <si>
    <t>Задочна форма на обучение</t>
  </si>
  <si>
    <t xml:space="preserve"> неразпределени самостоятелна форма на обучение в ПРБ</t>
  </si>
  <si>
    <t>Средства за занимания по интереси за институция</t>
  </si>
  <si>
    <t>Средства за занимания по интереси за ученик</t>
  </si>
  <si>
    <t xml:space="preserve">неразпределен резерв за разчетени повече ученици  </t>
  </si>
  <si>
    <t>неразпределен резерв за разчетени повече ученици8</t>
  </si>
  <si>
    <t>дейност 318</t>
  </si>
  <si>
    <t>неразпределен резерв за разчетени повече ученици</t>
  </si>
  <si>
    <t>дейност 322</t>
  </si>
  <si>
    <t>дейност 332</t>
  </si>
  <si>
    <t>дейност 326</t>
  </si>
  <si>
    <t>дейност 321</t>
  </si>
  <si>
    <t>ДГ "Китка"</t>
  </si>
  <si>
    <t>ДГ "Калина Малина"</t>
  </si>
  <si>
    <t>ДГ "Зорница"</t>
  </si>
  <si>
    <t>ДГ "Пролет"</t>
  </si>
  <si>
    <t xml:space="preserve">ДГ "Синчец" </t>
  </si>
  <si>
    <t>ДГ "Слънчо"</t>
  </si>
  <si>
    <t>ДГ "Здравец"</t>
  </si>
  <si>
    <t>ДГ "Радост"</t>
  </si>
  <si>
    <t>ДГ "Горска теменужка"</t>
  </si>
  <si>
    <t>ОУ "Н.Й.Вапцаров"</t>
  </si>
  <si>
    <t>СУ "Васил Левски"</t>
  </si>
  <si>
    <t>СУ "Хан Исперих"</t>
  </si>
  <si>
    <t>ОУ"Христо Ботев"</t>
  </si>
  <si>
    <t>ОУ "Св.Кл.Охридски"</t>
  </si>
  <si>
    <t>ОУ "Васил Левски"</t>
  </si>
  <si>
    <t>ПГ по СС</t>
  </si>
  <si>
    <t>ПГХТД"Проф.д-р Ас.Златаров"</t>
  </si>
  <si>
    <t xml:space="preserve">Дейност 321 </t>
  </si>
  <si>
    <t xml:space="preserve">Дейност 322 </t>
  </si>
  <si>
    <t>Дейност 326</t>
  </si>
  <si>
    <t xml:space="preserve">Дейност 338 </t>
  </si>
  <si>
    <t xml:space="preserve">Дейност 332 </t>
  </si>
  <si>
    <t xml:space="preserve">Дейност 337 </t>
  </si>
  <si>
    <t>ЦПЛР - ОДК</t>
  </si>
  <si>
    <t>Допълващ стандарт за поддръжка на автобуси</t>
  </si>
  <si>
    <t xml:space="preserve">Дейност 311 </t>
  </si>
  <si>
    <t>Средства за стандарти институция  паралелка ученик</t>
  </si>
  <si>
    <t>Норматив за подпомагане храненето на децата от ПГ в детските градини и училищата и учениците от І-ІV кл.</t>
  </si>
  <si>
    <t>Брой групи/           паралелки</t>
  </si>
  <si>
    <t>Дейност/институция</t>
  </si>
  <si>
    <t>Брой деца/       ученици към 01.01.2022 г.</t>
  </si>
  <si>
    <t>Норматив за такси в ДГ</t>
  </si>
  <si>
    <t>Норматив за стипендии дуална форма на обучение</t>
  </si>
  <si>
    <t>Информация за разпределение на средствата за делегирани от държавата дейности за 2022 год.</t>
  </si>
  <si>
    <t>Приложение към Заповед №252/31.03.2022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</si>
</sst>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5" fillId="0" borderId="1" xfId="0" applyFont="1" applyBorder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/>
    <xf numFmtId="0" fontId="5" fillId="3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/>
    <xf numFmtId="0" fontId="8" fillId="0" borderId="1" xfId="0" applyFont="1" applyBorder="1"/>
    <xf numFmtId="0" fontId="4" fillId="0" borderId="1" xfId="0" applyFont="1" applyBorder="1"/>
    <xf numFmtId="0" fontId="6" fillId="3" borderId="1" xfId="0" applyFont="1" applyFill="1" applyBorder="1" applyAlignment="1"/>
    <xf numFmtId="0" fontId="5" fillId="4" borderId="3" xfId="0" applyFont="1" applyFill="1" applyBorder="1"/>
    <xf numFmtId="0" fontId="0" fillId="0" borderId="0" xfId="0" applyAlignment="1">
      <alignment wrapText="1"/>
    </xf>
    <xf numFmtId="0" fontId="8" fillId="0" borderId="1" xfId="0" applyFont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/>
    <xf numFmtId="0" fontId="2" fillId="0" borderId="2" xfId="0" applyFont="1" applyBorder="1"/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/>
    <xf numFmtId="0" fontId="2" fillId="5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0" xfId="0" applyFont="1" applyFill="1"/>
    <xf numFmtId="0" fontId="9" fillId="6" borderId="2" xfId="0" applyFont="1" applyFill="1" applyBorder="1" applyAlignment="1">
      <alignment wrapText="1"/>
    </xf>
    <xf numFmtId="0" fontId="2" fillId="6" borderId="2" xfId="0" applyFont="1" applyFill="1" applyBorder="1" applyAlignment="1">
      <alignment vertical="top" wrapText="1"/>
    </xf>
    <xf numFmtId="0" fontId="3" fillId="6" borderId="2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1" fontId="0" fillId="0" borderId="0" xfId="0" applyNumberFormat="1"/>
    <xf numFmtId="1" fontId="11" fillId="0" borderId="1" xfId="0" applyNumberFormat="1" applyFont="1" applyBorder="1" applyAlignment="1">
      <alignment horizontal="right"/>
    </xf>
    <xf numFmtId="0" fontId="1" fillId="6" borderId="1" xfId="0" applyFont="1" applyFill="1" applyBorder="1" applyAlignment="1">
      <alignment horizontal="right" vertical="center" wrapText="1"/>
    </xf>
    <xf numFmtId="0" fontId="12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5" borderId="1" xfId="0" applyFont="1" applyFill="1" applyBorder="1"/>
    <xf numFmtId="0" fontId="2" fillId="0" borderId="0" xfId="0" applyFont="1" applyAlignment="1"/>
    <xf numFmtId="0" fontId="10" fillId="0" borderId="0" xfId="0" applyFont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colors>
    <mruColors>
      <color rgb="FFBF11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opLeftCell="A5" workbookViewId="0">
      <selection activeCell="A8" sqref="A8:XFD8"/>
    </sheetView>
  </sheetViews>
  <sheetFormatPr defaultRowHeight="15" x14ac:dyDescent="0.25"/>
  <cols>
    <col min="1" max="1" width="13.42578125" customWidth="1"/>
    <col min="2" max="2" width="32.85546875" customWidth="1"/>
    <col min="3" max="3" width="10.7109375" customWidth="1"/>
    <col min="4" max="4" width="9.28515625" customWidth="1"/>
    <col min="5" max="7" width="7.7109375" customWidth="1"/>
    <col min="8" max="8" width="7.5703125" customWidth="1"/>
    <col min="9" max="9" width="10.7109375" customWidth="1"/>
    <col min="10" max="10" width="8.7109375" customWidth="1"/>
    <col min="11" max="11" width="11.42578125" customWidth="1"/>
    <col min="18" max="18" width="15" customWidth="1"/>
  </cols>
  <sheetData>
    <row r="1" spans="1:20" ht="294" x14ac:dyDescent="0.25">
      <c r="A1" s="3" t="s">
        <v>22</v>
      </c>
      <c r="B1" s="4" t="s">
        <v>15</v>
      </c>
      <c r="C1" s="4" t="s">
        <v>16</v>
      </c>
      <c r="D1" s="4" t="s">
        <v>21</v>
      </c>
      <c r="E1" s="4" t="s">
        <v>23</v>
      </c>
      <c r="F1" s="4" t="s">
        <v>28</v>
      </c>
      <c r="G1" s="4" t="s">
        <v>17</v>
      </c>
      <c r="H1" s="4" t="s">
        <v>18</v>
      </c>
      <c r="I1" s="5" t="s">
        <v>0</v>
      </c>
      <c r="J1" s="4" t="s">
        <v>1</v>
      </c>
      <c r="K1" s="4" t="s">
        <v>2</v>
      </c>
      <c r="L1" s="4" t="s">
        <v>19</v>
      </c>
      <c r="M1" s="4" t="s">
        <v>6</v>
      </c>
      <c r="N1" s="4" t="s">
        <v>30</v>
      </c>
      <c r="O1" s="4" t="s">
        <v>31</v>
      </c>
      <c r="P1" s="4" t="s">
        <v>27</v>
      </c>
      <c r="Q1" s="10" t="s">
        <v>4</v>
      </c>
    </row>
    <row r="2" spans="1:20" ht="15.75" x14ac:dyDescent="0.25">
      <c r="A2" s="12" t="s">
        <v>7</v>
      </c>
      <c r="B2" s="12">
        <v>1589808</v>
      </c>
      <c r="C2" s="6"/>
      <c r="D2" s="6"/>
      <c r="E2" s="6"/>
      <c r="F2" s="6"/>
      <c r="G2" s="6"/>
      <c r="H2" s="6"/>
      <c r="I2" s="6"/>
      <c r="J2" s="12">
        <v>23030</v>
      </c>
      <c r="K2" s="6"/>
      <c r="L2" s="6"/>
      <c r="M2" s="6"/>
      <c r="N2" s="6"/>
      <c r="O2" s="6"/>
      <c r="P2" s="12">
        <v>15</v>
      </c>
      <c r="Q2" s="6">
        <f>B2+C2+D2+E2+F2+G2+H2+I2+J2+K2+L2+M2+N2+O2+P2</f>
        <v>1612853</v>
      </c>
      <c r="R2" s="10" t="s">
        <v>4</v>
      </c>
    </row>
    <row r="3" spans="1:20" ht="94.5" x14ac:dyDescent="0.25">
      <c r="A3" s="17" t="s">
        <v>8</v>
      </c>
      <c r="B3" s="12">
        <v>19132</v>
      </c>
      <c r="C3" s="6"/>
      <c r="D3" s="6"/>
      <c r="E3" s="6"/>
      <c r="F3" s="6"/>
      <c r="G3" s="6"/>
      <c r="H3" s="6"/>
      <c r="I3" s="6"/>
      <c r="J3" s="12">
        <v>1128</v>
      </c>
      <c r="K3" s="6"/>
      <c r="L3" s="6"/>
      <c r="M3" s="6"/>
      <c r="N3" s="6"/>
      <c r="O3" s="6"/>
      <c r="P3" s="6"/>
      <c r="Q3" s="6">
        <f t="shared" ref="Q3:Q9" si="0">B3+C3+D3+E3+F3+G3+H3+I3+J3+K3+L3+M3+N3+O3+P3</f>
        <v>20260</v>
      </c>
      <c r="R3" s="6">
        <f>C3+D3+E3+F3+G3+H3+I3+J3+K3+L3+M3+N3+O3+P3+Q3</f>
        <v>21388</v>
      </c>
    </row>
    <row r="4" spans="1:20" ht="15.75" x14ac:dyDescent="0.25">
      <c r="A4" s="12" t="s">
        <v>9</v>
      </c>
      <c r="B4" s="12">
        <v>3262256</v>
      </c>
      <c r="C4" s="12">
        <v>4356</v>
      </c>
      <c r="D4" s="13"/>
      <c r="E4" s="13"/>
      <c r="F4" s="13"/>
      <c r="G4" s="12">
        <v>34950</v>
      </c>
      <c r="H4" s="13"/>
      <c r="I4" s="13"/>
      <c r="J4" s="12">
        <v>56400</v>
      </c>
      <c r="K4" s="12">
        <v>583042</v>
      </c>
      <c r="L4" s="12">
        <v>29493</v>
      </c>
      <c r="M4" s="12">
        <v>13221</v>
      </c>
      <c r="N4" s="12">
        <v>11400</v>
      </c>
      <c r="O4" s="12">
        <v>36907</v>
      </c>
      <c r="P4" s="12">
        <v>855</v>
      </c>
      <c r="Q4" s="6">
        <f t="shared" si="0"/>
        <v>4032880</v>
      </c>
      <c r="R4" s="6">
        <f t="shared" ref="R4:R10" si="1">C4+D4+E4+F4+G4+H4+I4+J4+K4+L4+M4+N4+O4+P4+Q4</f>
        <v>4803504</v>
      </c>
    </row>
    <row r="5" spans="1:20" ht="15.75" x14ac:dyDescent="0.25">
      <c r="A5" s="6" t="s">
        <v>10</v>
      </c>
      <c r="B5" s="12">
        <v>713277</v>
      </c>
      <c r="C5" s="6"/>
      <c r="D5" s="6"/>
      <c r="E5" s="6"/>
      <c r="F5" s="6"/>
      <c r="G5" s="12">
        <v>1950</v>
      </c>
      <c r="H5" s="6"/>
      <c r="I5" s="6"/>
      <c r="J5" s="12">
        <v>1504</v>
      </c>
      <c r="K5" s="6"/>
      <c r="L5" s="12">
        <v>1392</v>
      </c>
      <c r="M5" s="6"/>
      <c r="N5" s="6"/>
      <c r="O5" s="6"/>
      <c r="P5" s="6"/>
      <c r="Q5" s="6">
        <f t="shared" si="0"/>
        <v>718123</v>
      </c>
      <c r="R5" s="6">
        <f t="shared" si="1"/>
        <v>722969</v>
      </c>
    </row>
    <row r="6" spans="1:20" ht="15.75" x14ac:dyDescent="0.25">
      <c r="A6" s="12" t="s">
        <v>11</v>
      </c>
      <c r="B6" s="12">
        <v>991794</v>
      </c>
      <c r="C6" s="6"/>
      <c r="D6" s="12">
        <v>34056</v>
      </c>
      <c r="E6" s="6"/>
      <c r="F6" s="6"/>
      <c r="G6" s="12">
        <v>7800</v>
      </c>
      <c r="H6" s="6"/>
      <c r="I6" s="6"/>
      <c r="J6" s="6"/>
      <c r="K6" s="6"/>
      <c r="L6" s="12">
        <v>30264</v>
      </c>
      <c r="M6" s="12">
        <v>12168</v>
      </c>
      <c r="N6" s="12">
        <v>3800</v>
      </c>
      <c r="O6" s="12">
        <v>8237</v>
      </c>
      <c r="P6" s="6"/>
      <c r="Q6" s="6">
        <f t="shared" si="0"/>
        <v>1088119</v>
      </c>
      <c r="R6" s="6">
        <f t="shared" si="1"/>
        <v>1184444</v>
      </c>
    </row>
    <row r="7" spans="1:20" ht="15.75" x14ac:dyDescent="0.25">
      <c r="A7" s="12" t="s">
        <v>12</v>
      </c>
      <c r="B7" s="12">
        <v>58950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f t="shared" si="0"/>
        <v>58950</v>
      </c>
      <c r="R7" s="6">
        <f t="shared" si="1"/>
        <v>58950</v>
      </c>
    </row>
    <row r="8" spans="1:20" ht="15.75" x14ac:dyDescent="0.25">
      <c r="A8" s="6" t="s">
        <v>13</v>
      </c>
      <c r="B8" s="6"/>
      <c r="C8" s="6"/>
      <c r="D8" s="6"/>
      <c r="E8" s="6"/>
      <c r="F8" s="6"/>
      <c r="G8" s="6"/>
      <c r="H8" s="12">
        <v>16605</v>
      </c>
      <c r="I8" s="12">
        <v>98226</v>
      </c>
      <c r="J8" s="6"/>
      <c r="K8" s="6"/>
      <c r="L8" s="6"/>
      <c r="M8" s="6"/>
      <c r="N8" s="6"/>
      <c r="O8" s="6"/>
      <c r="P8" s="6"/>
      <c r="Q8" s="6">
        <f t="shared" si="0"/>
        <v>114831</v>
      </c>
      <c r="R8" s="6">
        <f t="shared" si="1"/>
        <v>229662</v>
      </c>
    </row>
    <row r="9" spans="1:20" ht="15.75" x14ac:dyDescent="0.25">
      <c r="A9" s="6" t="s">
        <v>24</v>
      </c>
      <c r="B9" s="12">
        <v>53460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f t="shared" si="0"/>
        <v>53460</v>
      </c>
      <c r="R9" s="6">
        <f t="shared" si="1"/>
        <v>53460</v>
      </c>
    </row>
    <row r="10" spans="1:20" ht="78.75" x14ac:dyDescent="0.25">
      <c r="A10" s="7" t="s">
        <v>25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6156</v>
      </c>
      <c r="P10" s="8"/>
      <c r="Q10" s="8">
        <v>6156</v>
      </c>
      <c r="R10" s="6">
        <f t="shared" si="1"/>
        <v>12312</v>
      </c>
    </row>
    <row r="11" spans="1:20" ht="126" x14ac:dyDescent="0.25">
      <c r="A11" s="7" t="s">
        <v>29</v>
      </c>
      <c r="B11" s="8"/>
      <c r="C11" s="8"/>
      <c r="D11" s="8"/>
      <c r="E11" s="8">
        <v>31211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v>31211</v>
      </c>
      <c r="R11" s="8">
        <v>6156</v>
      </c>
    </row>
    <row r="12" spans="1:20" ht="43.9" customHeight="1" x14ac:dyDescent="0.25">
      <c r="A12" s="7" t="s">
        <v>26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v>6000</v>
      </c>
      <c r="R12" s="8">
        <v>31211</v>
      </c>
    </row>
    <row r="13" spans="1:20" ht="15.75" x14ac:dyDescent="0.25">
      <c r="A13" s="9" t="s">
        <v>14</v>
      </c>
      <c r="B13" s="9">
        <v>137176</v>
      </c>
      <c r="C13" s="9">
        <v>0</v>
      </c>
      <c r="D13" s="9">
        <v>3784</v>
      </c>
      <c r="E13" s="9">
        <v>7935</v>
      </c>
      <c r="F13" s="9">
        <v>16497</v>
      </c>
      <c r="G13" s="9">
        <v>600</v>
      </c>
      <c r="H13" s="9">
        <v>0</v>
      </c>
      <c r="I13" s="9">
        <v>0</v>
      </c>
      <c r="J13" s="9">
        <v>3478</v>
      </c>
      <c r="K13" s="9">
        <v>19925</v>
      </c>
      <c r="L13" s="9">
        <v>3095</v>
      </c>
      <c r="M13" s="9">
        <v>234</v>
      </c>
      <c r="N13" s="9">
        <v>0</v>
      </c>
      <c r="O13" s="9">
        <v>3060</v>
      </c>
      <c r="P13" s="9">
        <v>300</v>
      </c>
      <c r="Q13" s="9">
        <f>P13+O13+N13+M13+L13+K13+J13+I13+H13+G13+F13+E13+D13+C13+B13</f>
        <v>196084</v>
      </c>
      <c r="R13" s="8">
        <v>6000</v>
      </c>
      <c r="T13" t="s">
        <v>3</v>
      </c>
    </row>
    <row r="14" spans="1:20" ht="18.75" x14ac:dyDescent="0.3">
      <c r="A14" s="14" t="s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1">
        <f>SUM(Q2:Q13)</f>
        <v>7938927</v>
      </c>
      <c r="R14" s="9">
        <f>Q14+P14+O14+N14+M14+L14+K14+J14+I14+H14+G14+F14+E14+D14+C14</f>
        <v>7938927</v>
      </c>
    </row>
    <row r="15" spans="1:20" ht="75.75" x14ac:dyDescent="0.3">
      <c r="A15" s="16" t="s">
        <v>32</v>
      </c>
      <c r="B15">
        <v>39087</v>
      </c>
      <c r="Q15" s="15">
        <v>7938927</v>
      </c>
      <c r="R15" s="11">
        <f>SUM(R3:R14)</f>
        <v>15068983</v>
      </c>
    </row>
    <row r="16" spans="1:20" ht="75" x14ac:dyDescent="0.25">
      <c r="A16" s="16" t="s">
        <v>33</v>
      </c>
      <c r="B16">
        <v>2848</v>
      </c>
      <c r="Q16">
        <f>Q14-Q15</f>
        <v>0</v>
      </c>
      <c r="R16" s="15">
        <v>7938927</v>
      </c>
    </row>
    <row r="17" spans="1:18" ht="30" x14ac:dyDescent="0.25">
      <c r="A17" t="s">
        <v>34</v>
      </c>
      <c r="B17" s="16" t="s">
        <v>33</v>
      </c>
      <c r="C17">
        <v>2848</v>
      </c>
      <c r="R17">
        <f>R15-R16</f>
        <v>7130056</v>
      </c>
    </row>
    <row r="18" spans="1:18" ht="30" x14ac:dyDescent="0.25">
      <c r="A18" t="s">
        <v>36</v>
      </c>
      <c r="B18" s="16" t="s">
        <v>35</v>
      </c>
      <c r="C18">
        <v>40763</v>
      </c>
    </row>
    <row r="19" spans="1:18" ht="30" x14ac:dyDescent="0.25">
      <c r="A19" t="s">
        <v>37</v>
      </c>
      <c r="B19" s="16" t="s">
        <v>35</v>
      </c>
      <c r="C19">
        <v>3733</v>
      </c>
    </row>
    <row r="20" spans="1:18" ht="30" x14ac:dyDescent="0.25">
      <c r="A20" t="s">
        <v>38</v>
      </c>
      <c r="B20" s="16" t="s">
        <v>35</v>
      </c>
      <c r="C20">
        <v>16737</v>
      </c>
    </row>
    <row r="21" spans="1:18" ht="30" x14ac:dyDescent="0.25">
      <c r="A21" t="s">
        <v>39</v>
      </c>
      <c r="B21" s="16" t="s">
        <v>35</v>
      </c>
      <c r="C21">
        <v>34007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1"/>
  <sheetViews>
    <sheetView tabSelected="1" zoomScale="79" zoomScaleNormal="79" workbookViewId="0">
      <selection activeCell="E35" sqref="E35"/>
    </sheetView>
  </sheetViews>
  <sheetFormatPr defaultColWidth="9.140625" defaultRowHeight="15.75" x14ac:dyDescent="0.25"/>
  <cols>
    <col min="1" max="1" width="33.7109375" style="1" customWidth="1"/>
    <col min="2" max="2" width="13.7109375" style="1" customWidth="1"/>
    <col min="3" max="3" width="13.42578125" style="1" customWidth="1"/>
    <col min="4" max="4" width="14.7109375" style="1" customWidth="1"/>
    <col min="5" max="5" width="14.140625" style="1" customWidth="1"/>
    <col min="6" max="6" width="16.140625" style="34" customWidth="1"/>
    <col min="7" max="7" width="15.5703125" style="34" customWidth="1"/>
    <col min="8" max="8" width="14.5703125" style="1" customWidth="1"/>
    <col min="9" max="9" width="16" style="24" customWidth="1"/>
    <col min="10" max="11" width="13.7109375" style="24" customWidth="1"/>
    <col min="12" max="12" width="16.140625" style="24" customWidth="1"/>
    <col min="13" max="15" width="13.28515625" style="1" customWidth="1"/>
    <col min="16" max="16" width="16" style="1" customWidth="1"/>
    <col min="17" max="17" width="14.85546875" style="30" customWidth="1"/>
    <col min="18" max="16384" width="9.140625" style="1"/>
  </cols>
  <sheetData>
    <row r="1" spans="1:17" x14ac:dyDescent="0.25">
      <c r="O1" s="49" t="s">
        <v>74</v>
      </c>
      <c r="P1" s="49"/>
      <c r="Q1" s="49"/>
    </row>
    <row r="3" spans="1:17" ht="20.25" x14ac:dyDescent="0.3">
      <c r="A3" s="50" t="s">
        <v>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s="20" customFormat="1" ht="165" customHeight="1" x14ac:dyDescent="0.25">
      <c r="A5" s="40" t="s">
        <v>69</v>
      </c>
      <c r="B5" s="18" t="s">
        <v>68</v>
      </c>
      <c r="C5" s="18" t="s">
        <v>70</v>
      </c>
      <c r="D5" s="18" t="s">
        <v>66</v>
      </c>
      <c r="E5" s="18" t="s">
        <v>17</v>
      </c>
      <c r="F5" s="31" t="s">
        <v>18</v>
      </c>
      <c r="G5" s="31" t="s">
        <v>0</v>
      </c>
      <c r="H5" s="18" t="s">
        <v>67</v>
      </c>
      <c r="I5" s="22" t="s">
        <v>2</v>
      </c>
      <c r="J5" s="22" t="s">
        <v>19</v>
      </c>
      <c r="K5" s="22" t="s">
        <v>72</v>
      </c>
      <c r="L5" s="25" t="s">
        <v>6</v>
      </c>
      <c r="M5" s="19" t="s">
        <v>20</v>
      </c>
      <c r="N5" s="19" t="s">
        <v>27</v>
      </c>
      <c r="O5" s="19" t="s">
        <v>64</v>
      </c>
      <c r="P5" s="19" t="s">
        <v>71</v>
      </c>
      <c r="Q5" s="28" t="s">
        <v>4</v>
      </c>
    </row>
    <row r="6" spans="1:17" s="20" customFormat="1" x14ac:dyDescent="0.25">
      <c r="A6" s="35" t="s">
        <v>65</v>
      </c>
      <c r="B6" s="35"/>
      <c r="C6" s="35"/>
      <c r="D6" s="36"/>
      <c r="E6" s="36"/>
      <c r="F6" s="37"/>
      <c r="G6" s="37"/>
      <c r="H6" s="36"/>
      <c r="I6" s="36"/>
      <c r="J6" s="36"/>
      <c r="K6" s="36"/>
      <c r="L6" s="36"/>
      <c r="M6" s="38"/>
      <c r="N6" s="38"/>
      <c r="O6" s="38"/>
      <c r="P6" s="38"/>
      <c r="Q6" s="45">
        <f>Q7+Q8+Q9+Q10+Q11+Q12+Q13+Q14+Q15</f>
        <v>2334489</v>
      </c>
    </row>
    <row r="7" spans="1:17" x14ac:dyDescent="0.25">
      <c r="A7" s="21" t="s">
        <v>40</v>
      </c>
      <c r="B7" s="21">
        <v>4</v>
      </c>
      <c r="C7" s="44">
        <v>86</v>
      </c>
      <c r="D7" s="2">
        <f>363557-3635</f>
        <v>359922</v>
      </c>
      <c r="E7" s="2"/>
      <c r="F7" s="32"/>
      <c r="G7" s="32"/>
      <c r="H7" s="13">
        <f>1645+8085</f>
        <v>9730</v>
      </c>
      <c r="I7" s="23"/>
      <c r="J7" s="23"/>
      <c r="K7" s="26"/>
      <c r="L7" s="26"/>
      <c r="M7" s="2"/>
      <c r="N7" s="2"/>
      <c r="O7" s="2"/>
      <c r="P7" s="2">
        <f>3045+41925-1</f>
        <v>44969</v>
      </c>
      <c r="Q7" s="29">
        <f>D7+E7+F7+G7+H7+I7+J7+L7+M7+N7+O7+P7+K7</f>
        <v>414621</v>
      </c>
    </row>
    <row r="8" spans="1:17" x14ac:dyDescent="0.25">
      <c r="A8" s="21" t="s">
        <v>41</v>
      </c>
      <c r="B8" s="21">
        <v>5</v>
      </c>
      <c r="C8" s="44">
        <v>125</v>
      </c>
      <c r="D8" s="2">
        <f>505060-5050</f>
        <v>500010</v>
      </c>
      <c r="E8" s="2"/>
      <c r="F8" s="32"/>
      <c r="G8" s="32"/>
      <c r="H8" s="2">
        <f>2256+11088</f>
        <v>13344</v>
      </c>
      <c r="I8" s="23"/>
      <c r="J8" s="23"/>
      <c r="K8" s="26"/>
      <c r="L8" s="26"/>
      <c r="M8" s="2"/>
      <c r="N8" s="2"/>
      <c r="O8" s="2"/>
      <c r="P8" s="2">
        <f>4176+60938-1</f>
        <v>65113</v>
      </c>
      <c r="Q8" s="29">
        <f t="shared" ref="Q8:Q38" si="0">D8+E8+F8+G8+H8+I8+J8+L8+M8+N8+O8+P8+K8</f>
        <v>578467</v>
      </c>
    </row>
    <row r="9" spans="1:17" x14ac:dyDescent="0.25">
      <c r="A9" s="21" t="s">
        <v>42</v>
      </c>
      <c r="B9" s="21">
        <v>4</v>
      </c>
      <c r="C9" s="44">
        <v>85</v>
      </c>
      <c r="D9" s="2">
        <f>356129-3561</f>
        <v>352568</v>
      </c>
      <c r="E9" s="2"/>
      <c r="F9" s="32"/>
      <c r="G9" s="32"/>
      <c r="H9" s="2">
        <f>1246+6122-1</f>
        <v>7367</v>
      </c>
      <c r="I9" s="23"/>
      <c r="J9" s="23"/>
      <c r="K9" s="26"/>
      <c r="L9" s="26"/>
      <c r="M9" s="2"/>
      <c r="N9" s="2"/>
      <c r="O9" s="2"/>
      <c r="P9" s="2">
        <f>2306+41438-1</f>
        <v>43743</v>
      </c>
      <c r="Q9" s="29">
        <f t="shared" si="0"/>
        <v>403678</v>
      </c>
    </row>
    <row r="10" spans="1:17" x14ac:dyDescent="0.25">
      <c r="A10" s="21" t="s">
        <v>43</v>
      </c>
      <c r="B10" s="21">
        <v>4</v>
      </c>
      <c r="C10" s="44">
        <v>80</v>
      </c>
      <c r="D10" s="2">
        <f>342132-3421</f>
        <v>338711</v>
      </c>
      <c r="E10" s="2"/>
      <c r="F10" s="32"/>
      <c r="G10" s="32"/>
      <c r="H10" s="2">
        <f>1481+7277-1</f>
        <v>8757</v>
      </c>
      <c r="I10" s="23"/>
      <c r="J10" s="23"/>
      <c r="K10" s="26"/>
      <c r="L10" s="26"/>
      <c r="M10" s="2"/>
      <c r="N10" s="2"/>
      <c r="O10" s="2"/>
      <c r="P10" s="2">
        <f>2741+39000-1</f>
        <v>41740</v>
      </c>
      <c r="Q10" s="29">
        <f t="shared" si="0"/>
        <v>389208</v>
      </c>
    </row>
    <row r="11" spans="1:17" x14ac:dyDescent="0.25">
      <c r="A11" s="21" t="s">
        <v>44</v>
      </c>
      <c r="B11" s="21">
        <v>1</v>
      </c>
      <c r="C11" s="44">
        <v>23</v>
      </c>
      <c r="D11" s="2">
        <f>122360-1223</f>
        <v>121137</v>
      </c>
      <c r="E11" s="2"/>
      <c r="F11" s="32"/>
      <c r="G11" s="32"/>
      <c r="H11" s="2">
        <f>376+1848</f>
        <v>2224</v>
      </c>
      <c r="I11" s="23"/>
      <c r="J11" s="23"/>
      <c r="K11" s="26"/>
      <c r="L11" s="26"/>
      <c r="M11" s="2"/>
      <c r="N11" s="2"/>
      <c r="O11" s="2"/>
      <c r="P11" s="2">
        <f>696+11213</f>
        <v>11909</v>
      </c>
      <c r="Q11" s="29">
        <f t="shared" si="0"/>
        <v>135270</v>
      </c>
    </row>
    <row r="12" spans="1:17" x14ac:dyDescent="0.25">
      <c r="A12" s="21" t="s">
        <v>45</v>
      </c>
      <c r="B12" s="21">
        <v>1</v>
      </c>
      <c r="C12" s="44">
        <v>12</v>
      </c>
      <c r="D12" s="2">
        <f>83773-837</f>
        <v>82936</v>
      </c>
      <c r="E12" s="2"/>
      <c r="F12" s="32"/>
      <c r="G12" s="32"/>
      <c r="H12" s="2">
        <f>141+693-1</f>
        <v>833</v>
      </c>
      <c r="I12" s="23"/>
      <c r="J12" s="23"/>
      <c r="K12" s="26"/>
      <c r="L12" s="26"/>
      <c r="M12" s="2"/>
      <c r="N12" s="2"/>
      <c r="O12" s="2"/>
      <c r="P12" s="2">
        <f>261+5850</f>
        <v>6111</v>
      </c>
      <c r="Q12" s="29">
        <f t="shared" si="0"/>
        <v>89880</v>
      </c>
    </row>
    <row r="13" spans="1:17" x14ac:dyDescent="0.25">
      <c r="A13" s="21" t="s">
        <v>46</v>
      </c>
      <c r="B13" s="21">
        <v>1</v>
      </c>
      <c r="C13" s="44">
        <v>20</v>
      </c>
      <c r="D13" s="2">
        <f>111770-1117</f>
        <v>110653</v>
      </c>
      <c r="E13" s="2"/>
      <c r="F13" s="32"/>
      <c r="G13" s="32"/>
      <c r="H13" s="2">
        <f>306+1502-1</f>
        <v>1807</v>
      </c>
      <c r="I13" s="23"/>
      <c r="J13" s="23"/>
      <c r="K13" s="26"/>
      <c r="L13" s="26"/>
      <c r="M13" s="2"/>
      <c r="N13" s="2"/>
      <c r="O13" s="2"/>
      <c r="P13" s="2">
        <f>566+9750</f>
        <v>10316</v>
      </c>
      <c r="Q13" s="29">
        <f t="shared" si="0"/>
        <v>122776</v>
      </c>
    </row>
    <row r="14" spans="1:17" x14ac:dyDescent="0.25">
      <c r="A14" s="21" t="s">
        <v>47</v>
      </c>
      <c r="B14" s="21">
        <v>1</v>
      </c>
      <c r="C14" s="44">
        <v>13</v>
      </c>
      <c r="D14" s="2">
        <f>87304-873</f>
        <v>86431</v>
      </c>
      <c r="E14" s="2"/>
      <c r="F14" s="32"/>
      <c r="G14" s="32"/>
      <c r="H14" s="2">
        <f>165+809</f>
        <v>974</v>
      </c>
      <c r="I14" s="23"/>
      <c r="J14" s="23"/>
      <c r="K14" s="26"/>
      <c r="L14" s="26"/>
      <c r="M14" s="2"/>
      <c r="N14" s="2"/>
      <c r="O14" s="2"/>
      <c r="P14" s="2">
        <f>305+6338</f>
        <v>6643</v>
      </c>
      <c r="Q14" s="29">
        <f t="shared" si="0"/>
        <v>94048</v>
      </c>
    </row>
    <row r="15" spans="1:17" x14ac:dyDescent="0.25">
      <c r="A15" s="21" t="s">
        <v>48</v>
      </c>
      <c r="B15" s="21">
        <v>1</v>
      </c>
      <c r="C15" s="44">
        <v>16</v>
      </c>
      <c r="D15" s="2">
        <f>97894-978</f>
        <v>96916</v>
      </c>
      <c r="E15" s="2"/>
      <c r="F15" s="32"/>
      <c r="G15" s="32"/>
      <c r="H15" s="2">
        <f>235+1155</f>
        <v>1390</v>
      </c>
      <c r="I15" s="23"/>
      <c r="J15" s="23"/>
      <c r="K15" s="26"/>
      <c r="L15" s="26"/>
      <c r="M15" s="2"/>
      <c r="N15" s="2"/>
      <c r="O15" s="2"/>
      <c r="P15" s="2">
        <f>435+7800</f>
        <v>8235</v>
      </c>
      <c r="Q15" s="29">
        <f t="shared" si="0"/>
        <v>106541</v>
      </c>
    </row>
    <row r="16" spans="1:17" x14ac:dyDescent="0.25">
      <c r="A16" s="35" t="s">
        <v>57</v>
      </c>
      <c r="B16" s="35"/>
      <c r="C16" s="35"/>
      <c r="D16" s="36"/>
      <c r="E16" s="36"/>
      <c r="F16" s="37"/>
      <c r="G16" s="37"/>
      <c r="H16" s="36"/>
      <c r="I16" s="36"/>
      <c r="J16" s="36"/>
      <c r="K16" s="36"/>
      <c r="L16" s="36"/>
      <c r="M16" s="38"/>
      <c r="N16" s="38"/>
      <c r="O16" s="38"/>
      <c r="P16" s="38"/>
      <c r="Q16" s="38">
        <f>Q17</f>
        <v>806906</v>
      </c>
    </row>
    <row r="17" spans="1:17" x14ac:dyDescent="0.25">
      <c r="A17" s="1" t="s">
        <v>5</v>
      </c>
      <c r="B17" s="2">
        <v>9</v>
      </c>
      <c r="C17" s="2">
        <v>57</v>
      </c>
      <c r="D17" s="2">
        <v>793702</v>
      </c>
      <c r="E17" s="2">
        <f>356+1283</f>
        <v>1639</v>
      </c>
      <c r="F17" s="32"/>
      <c r="G17" s="32"/>
      <c r="H17" s="2">
        <f>259+1271</f>
        <v>1530</v>
      </c>
      <c r="I17" s="23"/>
      <c r="J17" s="23">
        <v>2784</v>
      </c>
      <c r="K17" s="26"/>
      <c r="L17" s="26">
        <f>400+1344</f>
        <v>1744</v>
      </c>
      <c r="M17" s="2"/>
      <c r="N17" s="2"/>
      <c r="O17" s="2">
        <f>500+750+1703+2554</f>
        <v>5507</v>
      </c>
      <c r="P17" s="2"/>
      <c r="Q17" s="29">
        <f t="shared" si="0"/>
        <v>806906</v>
      </c>
    </row>
    <row r="18" spans="1:17" x14ac:dyDescent="0.25">
      <c r="A18" s="35" t="s">
        <v>58</v>
      </c>
      <c r="B18" s="35"/>
      <c r="C18" s="35"/>
      <c r="D18" s="36"/>
      <c r="E18" s="36"/>
      <c r="F18" s="37"/>
      <c r="G18" s="37"/>
      <c r="H18" s="36"/>
      <c r="I18" s="36"/>
      <c r="J18" s="36"/>
      <c r="K18" s="36"/>
      <c r="L18" s="36"/>
      <c r="M18" s="38"/>
      <c r="N18" s="38"/>
      <c r="O18" s="38"/>
      <c r="P18" s="38"/>
      <c r="Q18" s="38">
        <f>Q19+Q20+Q21+Q22+Q23+Q24</f>
        <v>5141611</v>
      </c>
    </row>
    <row r="19" spans="1:17" x14ac:dyDescent="0.25">
      <c r="A19" s="21" t="s">
        <v>50</v>
      </c>
      <c r="B19" s="2">
        <v>27</v>
      </c>
      <c r="C19" s="21">
        <v>543</v>
      </c>
      <c r="D19" s="2">
        <f>1715300-17153</f>
        <v>1698147</v>
      </c>
      <c r="E19" s="2">
        <f>3394+12218</f>
        <v>15612</v>
      </c>
      <c r="F19" s="32"/>
      <c r="G19" s="32"/>
      <c r="H19" s="2">
        <f>4841+23793</f>
        <v>28634</v>
      </c>
      <c r="I19" s="23">
        <f>6853+51150+23220+173314</f>
        <v>254537</v>
      </c>
      <c r="J19" s="23">
        <v>15051</v>
      </c>
      <c r="K19" s="26"/>
      <c r="L19" s="26">
        <f>3676+12326</f>
        <v>16002</v>
      </c>
      <c r="M19" s="2">
        <f>475+4073+1575+13439</f>
        <v>19562</v>
      </c>
      <c r="N19" s="2">
        <v>15</v>
      </c>
      <c r="O19" s="2"/>
      <c r="P19" s="2"/>
      <c r="Q19" s="29">
        <f t="shared" si="0"/>
        <v>2047560</v>
      </c>
    </row>
    <row r="20" spans="1:17" x14ac:dyDescent="0.25">
      <c r="A20" s="21" t="s">
        <v>51</v>
      </c>
      <c r="B20" s="2">
        <v>21</v>
      </c>
      <c r="C20" s="21">
        <v>434</v>
      </c>
      <c r="D20" s="2">
        <f>1375469-13754</f>
        <v>1361715</v>
      </c>
      <c r="E20" s="2">
        <f>2713+9765</f>
        <v>12478</v>
      </c>
      <c r="F20" s="32"/>
      <c r="G20" s="32"/>
      <c r="H20" s="2">
        <f>4089+20097</f>
        <v>24186</v>
      </c>
      <c r="I20" s="23">
        <f>5607+47009+18998+159282</f>
        <v>230896</v>
      </c>
      <c r="J20" s="23">
        <v>11397</v>
      </c>
      <c r="K20" s="26"/>
      <c r="L20" s="26">
        <f>2784+9334</f>
        <v>12118</v>
      </c>
      <c r="M20" s="2">
        <f>475+3255+1575+10742</f>
        <v>16047</v>
      </c>
      <c r="N20" s="2">
        <v>525</v>
      </c>
      <c r="O20" s="2"/>
      <c r="P20" s="2"/>
      <c r="Q20" s="29">
        <f t="shared" si="0"/>
        <v>1669362</v>
      </c>
    </row>
    <row r="21" spans="1:17" x14ac:dyDescent="0.25">
      <c r="A21" s="21" t="s">
        <v>49</v>
      </c>
      <c r="B21" s="2">
        <v>7</v>
      </c>
      <c r="C21" s="21">
        <v>110</v>
      </c>
      <c r="D21" s="2">
        <f>412750-4127</f>
        <v>408623</v>
      </c>
      <c r="E21" s="2">
        <f>688+2475-3</f>
        <v>3160</v>
      </c>
      <c r="F21" s="32"/>
      <c r="G21" s="32"/>
      <c r="H21" s="2">
        <f>1363+6697</f>
        <v>8060</v>
      </c>
      <c r="I21" s="23">
        <f>1869+18268+6333+61897</f>
        <v>88367</v>
      </c>
      <c r="J21" s="23"/>
      <c r="K21" s="26"/>
      <c r="L21" s="26"/>
      <c r="M21" s="2">
        <f>475+825+1575+2723</f>
        <v>5598</v>
      </c>
      <c r="N21" s="2">
        <v>45</v>
      </c>
      <c r="O21" s="2"/>
      <c r="P21" s="2"/>
      <c r="Q21" s="29">
        <f t="shared" si="0"/>
        <v>513853</v>
      </c>
    </row>
    <row r="22" spans="1:17" x14ac:dyDescent="0.25">
      <c r="A22" s="21" t="s">
        <v>52</v>
      </c>
      <c r="B22" s="2">
        <v>4</v>
      </c>
      <c r="C22" s="21">
        <v>40</v>
      </c>
      <c r="D22" s="2">
        <f>205062-1-2050</f>
        <v>203011</v>
      </c>
      <c r="E22" s="2">
        <f>250+900</f>
        <v>1150</v>
      </c>
      <c r="F22" s="32"/>
      <c r="G22" s="32"/>
      <c r="H22" s="2">
        <f>353+1733-1</f>
        <v>2085</v>
      </c>
      <c r="I22" s="23">
        <f>1246+8281+4222+28060</f>
        <v>41809</v>
      </c>
      <c r="J22" s="23"/>
      <c r="K22" s="26"/>
      <c r="L22" s="26"/>
      <c r="M22" s="2">
        <f>475+300+1575+990</f>
        <v>3340</v>
      </c>
      <c r="N22" s="2">
        <v>15</v>
      </c>
      <c r="O22" s="2"/>
      <c r="P22" s="2"/>
      <c r="Q22" s="29">
        <f t="shared" si="0"/>
        <v>251410</v>
      </c>
    </row>
    <row r="23" spans="1:17" x14ac:dyDescent="0.25">
      <c r="A23" s="21" t="s">
        <v>53</v>
      </c>
      <c r="B23" s="2">
        <v>7</v>
      </c>
      <c r="C23" s="21">
        <v>78</v>
      </c>
      <c r="D23" s="2">
        <f>334766-3347</f>
        <v>331419</v>
      </c>
      <c r="E23" s="2">
        <f>488+1755</f>
        <v>2243</v>
      </c>
      <c r="F23" s="32"/>
      <c r="G23" s="32"/>
      <c r="H23" s="2">
        <f>917+4505</f>
        <v>5422</v>
      </c>
      <c r="I23" s="23">
        <f>1869+15588+6333+52819</f>
        <v>76609</v>
      </c>
      <c r="J23" s="23"/>
      <c r="K23" s="26"/>
      <c r="L23" s="26"/>
      <c r="M23" s="2">
        <f>475+585+1575+1931</f>
        <v>4566</v>
      </c>
      <c r="N23" s="2"/>
      <c r="O23" s="2"/>
      <c r="P23" s="2"/>
      <c r="Q23" s="29">
        <f t="shared" si="0"/>
        <v>420259</v>
      </c>
    </row>
    <row r="24" spans="1:17" x14ac:dyDescent="0.25">
      <c r="A24" s="21" t="s">
        <v>54</v>
      </c>
      <c r="B24" s="2">
        <v>4</v>
      </c>
      <c r="C24" s="21">
        <v>35</v>
      </c>
      <c r="D24" s="2">
        <f>192876-1928</f>
        <v>190948</v>
      </c>
      <c r="E24" s="2">
        <f>219+788</f>
        <v>1007</v>
      </c>
      <c r="F24" s="32"/>
      <c r="G24" s="32"/>
      <c r="H24" s="2">
        <f>376+1848</f>
        <v>2224</v>
      </c>
      <c r="I24" s="23">
        <f>1246+8281+4222+28060</f>
        <v>41809</v>
      </c>
      <c r="J24" s="23"/>
      <c r="K24" s="26"/>
      <c r="L24" s="26"/>
      <c r="M24" s="2">
        <f>475+263+1575+866</f>
        <v>3179</v>
      </c>
      <c r="N24" s="2"/>
      <c r="O24" s="2"/>
      <c r="P24" s="2"/>
      <c r="Q24" s="29">
        <f t="shared" si="0"/>
        <v>239167</v>
      </c>
    </row>
    <row r="25" spans="1:17" x14ac:dyDescent="0.25">
      <c r="A25" s="35" t="s">
        <v>59</v>
      </c>
      <c r="B25" s="35"/>
      <c r="C25" s="35"/>
      <c r="D25" s="36"/>
      <c r="E25" s="36"/>
      <c r="F25" s="37"/>
      <c r="G25" s="37"/>
      <c r="H25" s="36"/>
      <c r="I25" s="36"/>
      <c r="J25" s="36"/>
      <c r="K25" s="36"/>
      <c r="L25" s="36"/>
      <c r="M25" s="38"/>
      <c r="N25" s="38"/>
      <c r="O25" s="38"/>
      <c r="P25" s="38"/>
      <c r="Q25" s="46">
        <f>Q26+Q27</f>
        <v>1411653</v>
      </c>
    </row>
    <row r="26" spans="1:17" x14ac:dyDescent="0.25">
      <c r="A26" s="2" t="s">
        <v>55</v>
      </c>
      <c r="B26" s="2">
        <v>5</v>
      </c>
      <c r="C26" s="2">
        <v>130</v>
      </c>
      <c r="D26" s="2">
        <v>620036</v>
      </c>
      <c r="E26" s="2">
        <f>813+2924</f>
        <v>3737</v>
      </c>
      <c r="F26" s="32"/>
      <c r="G26" s="32"/>
      <c r="H26" s="2"/>
      <c r="I26" s="23"/>
      <c r="J26" s="23">
        <v>12610</v>
      </c>
      <c r="K26" s="26"/>
      <c r="L26" s="26">
        <v>7085</v>
      </c>
      <c r="M26" s="2">
        <v>5950</v>
      </c>
      <c r="N26" s="2"/>
      <c r="O26" s="2"/>
      <c r="P26" s="2"/>
      <c r="Q26" s="29">
        <f t="shared" si="0"/>
        <v>649418</v>
      </c>
    </row>
    <row r="27" spans="1:17" x14ac:dyDescent="0.25">
      <c r="A27" s="2" t="s">
        <v>56</v>
      </c>
      <c r="B27" s="2">
        <v>9</v>
      </c>
      <c r="C27" s="2">
        <v>155</v>
      </c>
      <c r="D27" s="2">
        <v>709255</v>
      </c>
      <c r="E27" s="2">
        <f>969+3488</f>
        <v>4457</v>
      </c>
      <c r="F27" s="32"/>
      <c r="G27" s="32"/>
      <c r="H27" s="2"/>
      <c r="I27" s="23"/>
      <c r="J27" s="23">
        <v>15035</v>
      </c>
      <c r="K27" s="26">
        <v>18340</v>
      </c>
      <c r="L27" s="26">
        <v>8448</v>
      </c>
      <c r="M27" s="2">
        <v>6700</v>
      </c>
      <c r="N27" s="2"/>
      <c r="O27" s="2"/>
      <c r="P27" s="2"/>
      <c r="Q27" s="29">
        <f t="shared" si="0"/>
        <v>762235</v>
      </c>
    </row>
    <row r="28" spans="1:17" x14ac:dyDescent="0.25">
      <c r="A28" s="35" t="s">
        <v>61</v>
      </c>
      <c r="B28" s="35"/>
      <c r="C28" s="35"/>
      <c r="D28" s="36"/>
      <c r="E28" s="36"/>
      <c r="F28" s="37"/>
      <c r="G28" s="37"/>
      <c r="H28" s="36"/>
      <c r="I28" s="36"/>
      <c r="J28" s="36"/>
      <c r="K28" s="36"/>
      <c r="L28" s="36"/>
      <c r="M28" s="38"/>
      <c r="N28" s="38"/>
      <c r="O28" s="38"/>
      <c r="P28" s="38"/>
      <c r="Q28" s="38">
        <f>Q29</f>
        <v>75960</v>
      </c>
    </row>
    <row r="29" spans="1:17" x14ac:dyDescent="0.25">
      <c r="A29" s="1" t="s">
        <v>56</v>
      </c>
      <c r="B29" s="2">
        <v>1</v>
      </c>
      <c r="C29" s="2">
        <v>23</v>
      </c>
      <c r="D29" s="2">
        <f>13966+3390+47155+11449</f>
        <v>75960</v>
      </c>
      <c r="E29" s="2"/>
      <c r="F29" s="32"/>
      <c r="G29" s="32"/>
      <c r="H29" s="2"/>
      <c r="I29" s="23"/>
      <c r="J29" s="23"/>
      <c r="K29" s="26"/>
      <c r="L29" s="26"/>
      <c r="M29" s="2"/>
      <c r="N29" s="2"/>
      <c r="O29" s="2"/>
      <c r="P29" s="2"/>
      <c r="Q29" s="29">
        <f t="shared" si="0"/>
        <v>75960</v>
      </c>
    </row>
    <row r="30" spans="1:17" x14ac:dyDescent="0.25">
      <c r="A30" s="35" t="s">
        <v>60</v>
      </c>
      <c r="B30" s="35"/>
      <c r="C30" s="35"/>
      <c r="D30" s="36"/>
      <c r="E30" s="36"/>
      <c r="F30" s="37"/>
      <c r="G30" s="37"/>
      <c r="H30" s="36"/>
      <c r="I30" s="36"/>
      <c r="J30" s="36"/>
      <c r="K30" s="36"/>
      <c r="L30" s="36"/>
      <c r="M30" s="38"/>
      <c r="N30" s="38"/>
      <c r="O30" s="38"/>
      <c r="P30" s="38"/>
      <c r="Q30" s="38">
        <f>Q31+Q32+Q33+Q34+Q35+Q36+Q37+Q38</f>
        <v>159670</v>
      </c>
    </row>
    <row r="31" spans="1:17" x14ac:dyDescent="0.25">
      <c r="A31" s="21" t="s">
        <v>40</v>
      </c>
      <c r="B31" s="21"/>
      <c r="C31" s="21">
        <v>9</v>
      </c>
      <c r="D31" s="2"/>
      <c r="E31" s="2"/>
      <c r="F31" s="32">
        <f>1114+3780</f>
        <v>4894</v>
      </c>
      <c r="G31" s="32">
        <f>8435+28289</f>
        <v>36724</v>
      </c>
      <c r="H31" s="2"/>
      <c r="I31" s="23"/>
      <c r="J31" s="23"/>
      <c r="K31" s="26"/>
      <c r="L31" s="26"/>
      <c r="M31" s="2"/>
      <c r="N31" s="2"/>
      <c r="O31" s="2"/>
      <c r="P31" s="2"/>
      <c r="Q31" s="29">
        <f t="shared" si="0"/>
        <v>41618</v>
      </c>
    </row>
    <row r="32" spans="1:17" x14ac:dyDescent="0.25">
      <c r="A32" s="21" t="s">
        <v>41</v>
      </c>
      <c r="B32" s="21"/>
      <c r="C32" s="21">
        <v>8</v>
      </c>
      <c r="D32" s="2"/>
      <c r="E32" s="2"/>
      <c r="F32" s="32">
        <f>990+3360</f>
        <v>4350</v>
      </c>
      <c r="G32" s="32"/>
      <c r="H32" s="2"/>
      <c r="I32" s="23"/>
      <c r="J32" s="23"/>
      <c r="K32" s="26"/>
      <c r="L32" s="26"/>
      <c r="M32" s="2"/>
      <c r="N32" s="2"/>
      <c r="O32" s="2"/>
      <c r="P32" s="2"/>
      <c r="Q32" s="29">
        <f t="shared" si="0"/>
        <v>4350</v>
      </c>
    </row>
    <row r="33" spans="1:17" x14ac:dyDescent="0.25">
      <c r="A33" s="21" t="s">
        <v>42</v>
      </c>
      <c r="B33" s="21"/>
      <c r="C33" s="21">
        <v>5</v>
      </c>
      <c r="D33" s="2"/>
      <c r="E33" s="2"/>
      <c r="F33" s="32">
        <f>619+2100</f>
        <v>2719</v>
      </c>
      <c r="G33" s="32"/>
      <c r="H33" s="2"/>
      <c r="I33" s="23"/>
      <c r="J33" s="23"/>
      <c r="K33" s="26"/>
      <c r="L33" s="26"/>
      <c r="M33" s="2"/>
      <c r="N33" s="2"/>
      <c r="O33" s="2"/>
      <c r="P33" s="2"/>
      <c r="Q33" s="29">
        <f t="shared" si="0"/>
        <v>2719</v>
      </c>
    </row>
    <row r="34" spans="1:17" x14ac:dyDescent="0.25">
      <c r="A34" s="21" t="s">
        <v>50</v>
      </c>
      <c r="B34" s="21"/>
      <c r="C34" s="21">
        <v>9</v>
      </c>
      <c r="D34" s="2"/>
      <c r="E34" s="2"/>
      <c r="F34" s="32">
        <f>1114+3780</f>
        <v>4894</v>
      </c>
      <c r="G34" s="32">
        <f>8435+28290-3</f>
        <v>36722</v>
      </c>
      <c r="H34" s="2"/>
      <c r="I34" s="23"/>
      <c r="J34" s="23"/>
      <c r="K34" s="26"/>
      <c r="L34" s="26"/>
      <c r="M34" s="2"/>
      <c r="N34" s="2"/>
      <c r="O34" s="2"/>
      <c r="P34" s="2"/>
      <c r="Q34" s="29">
        <f t="shared" si="0"/>
        <v>41616</v>
      </c>
    </row>
    <row r="35" spans="1:17" x14ac:dyDescent="0.25">
      <c r="A35" s="21" t="s">
        <v>51</v>
      </c>
      <c r="B35" s="21"/>
      <c r="C35" s="21">
        <v>2</v>
      </c>
      <c r="D35" s="2"/>
      <c r="E35" s="2"/>
      <c r="F35" s="32">
        <f>248+840</f>
        <v>1088</v>
      </c>
      <c r="G35" s="32">
        <f>1875+6287</f>
        <v>8162</v>
      </c>
      <c r="H35" s="2"/>
      <c r="I35" s="23"/>
      <c r="J35" s="23"/>
      <c r="K35" s="26"/>
      <c r="L35" s="26"/>
      <c r="M35" s="2"/>
      <c r="N35" s="2"/>
      <c r="O35" s="2"/>
      <c r="P35" s="2"/>
      <c r="Q35" s="29">
        <f t="shared" si="0"/>
        <v>9250</v>
      </c>
    </row>
    <row r="36" spans="1:17" x14ac:dyDescent="0.25">
      <c r="A36" s="21" t="s">
        <v>49</v>
      </c>
      <c r="B36" s="21"/>
      <c r="C36" s="21">
        <v>6</v>
      </c>
      <c r="D36" s="2"/>
      <c r="E36" s="2"/>
      <c r="F36" s="32">
        <f>743+2520</f>
        <v>3263</v>
      </c>
      <c r="G36" s="32">
        <f>5624+18860</f>
        <v>24484</v>
      </c>
      <c r="H36" s="2"/>
      <c r="I36" s="23"/>
      <c r="J36" s="23"/>
      <c r="K36" s="26"/>
      <c r="L36" s="26"/>
      <c r="M36" s="2"/>
      <c r="N36" s="2"/>
      <c r="O36" s="2"/>
      <c r="P36" s="2"/>
      <c r="Q36" s="29">
        <f t="shared" si="0"/>
        <v>27747</v>
      </c>
    </row>
    <row r="37" spans="1:17" x14ac:dyDescent="0.25">
      <c r="A37" s="21" t="s">
        <v>53</v>
      </c>
      <c r="B37" s="21"/>
      <c r="C37" s="21">
        <v>3</v>
      </c>
      <c r="D37" s="2"/>
      <c r="E37" s="2"/>
      <c r="F37" s="32">
        <f>371+1260</f>
        <v>1631</v>
      </c>
      <c r="G37" s="32">
        <f>2812+9430</f>
        <v>12242</v>
      </c>
      <c r="H37" s="2"/>
      <c r="I37" s="23"/>
      <c r="J37" s="23"/>
      <c r="K37" s="26"/>
      <c r="L37" s="26"/>
      <c r="M37" s="2"/>
      <c r="N37" s="2"/>
      <c r="O37" s="2"/>
      <c r="P37" s="2"/>
      <c r="Q37" s="29">
        <f t="shared" si="0"/>
        <v>13873</v>
      </c>
    </row>
    <row r="38" spans="1:17" x14ac:dyDescent="0.25">
      <c r="A38" s="2" t="s">
        <v>55</v>
      </c>
      <c r="B38" s="21"/>
      <c r="C38" s="21">
        <v>4</v>
      </c>
      <c r="D38" s="21"/>
      <c r="E38" s="21"/>
      <c r="F38" s="33">
        <f>495+1680</f>
        <v>2175</v>
      </c>
      <c r="G38" s="33">
        <f>3749+12573</f>
        <v>16322</v>
      </c>
      <c r="H38" s="21"/>
      <c r="I38" s="26"/>
      <c r="J38" s="26"/>
      <c r="K38" s="26"/>
      <c r="L38" s="26"/>
      <c r="M38" s="2"/>
      <c r="N38" s="2"/>
      <c r="O38" s="2"/>
      <c r="P38" s="2"/>
      <c r="Q38" s="29">
        <f t="shared" si="0"/>
        <v>18497</v>
      </c>
    </row>
    <row r="39" spans="1:17" x14ac:dyDescent="0.25">
      <c r="A39" s="35" t="s">
        <v>62</v>
      </c>
      <c r="B39" s="35"/>
      <c r="C39" s="35"/>
      <c r="D39" s="36"/>
      <c r="E39" s="36"/>
      <c r="F39" s="37"/>
      <c r="G39" s="37"/>
      <c r="H39" s="36"/>
      <c r="I39" s="36"/>
      <c r="J39" s="36"/>
      <c r="K39" s="36"/>
      <c r="L39" s="36"/>
      <c r="M39" s="38"/>
      <c r="N39" s="38"/>
      <c r="O39" s="38"/>
      <c r="P39" s="38"/>
      <c r="Q39" s="47">
        <f>Q40</f>
        <v>77140</v>
      </c>
    </row>
    <row r="40" spans="1:17" x14ac:dyDescent="0.25">
      <c r="A40" s="21" t="s">
        <v>63</v>
      </c>
      <c r="B40" s="21">
        <v>25</v>
      </c>
      <c r="C40" s="21">
        <v>246</v>
      </c>
      <c r="D40" s="2">
        <v>77140</v>
      </c>
      <c r="E40" s="2"/>
      <c r="F40" s="32"/>
      <c r="G40" s="32"/>
      <c r="H40" s="2"/>
      <c r="I40" s="23"/>
      <c r="J40" s="23"/>
      <c r="K40" s="26"/>
      <c r="L40" s="26"/>
      <c r="M40" s="2"/>
      <c r="N40" s="2"/>
      <c r="O40" s="2"/>
      <c r="P40" s="2"/>
      <c r="Q40" s="29">
        <f>D40+E40+F40+G40+H40+I40+J40+L40+M40+N40+O40</f>
        <v>77140</v>
      </c>
    </row>
    <row r="41" spans="1:17" x14ac:dyDescent="0.25">
      <c r="A41" s="27"/>
      <c r="B41" s="27"/>
      <c r="C41" s="27"/>
      <c r="D41" s="27">
        <f>SUM(D6:D40)</f>
        <v>8519240</v>
      </c>
      <c r="E41" s="27">
        <f t="shared" ref="E41:L41" si="1">SUM(E6:E40)</f>
        <v>45483</v>
      </c>
      <c r="F41" s="27">
        <f>SUM(F6:F40)</f>
        <v>25014</v>
      </c>
      <c r="G41" s="27">
        <f t="shared" si="1"/>
        <v>134656</v>
      </c>
      <c r="H41" s="27">
        <f t="shared" si="1"/>
        <v>118567</v>
      </c>
      <c r="I41" s="27">
        <f t="shared" si="1"/>
        <v>734027</v>
      </c>
      <c r="J41" s="27">
        <f t="shared" si="1"/>
        <v>56877</v>
      </c>
      <c r="K41" s="27">
        <f>SUM(K7:K40)</f>
        <v>18340</v>
      </c>
      <c r="L41" s="27">
        <f t="shared" si="1"/>
        <v>45397</v>
      </c>
      <c r="M41" s="27">
        <f t="shared" ref="M41:P41" si="2">SUM(M7:M40)</f>
        <v>64942</v>
      </c>
      <c r="N41" s="27">
        <f t="shared" si="2"/>
        <v>600</v>
      </c>
      <c r="O41" s="27">
        <f t="shared" si="2"/>
        <v>5507</v>
      </c>
      <c r="P41" s="27">
        <f t="shared" si="2"/>
        <v>238779</v>
      </c>
      <c r="Q41" s="48">
        <f>Q6+Q16+Q18+Q25+Q28+Q30+Q39</f>
        <v>10007429</v>
      </c>
    </row>
  </sheetData>
  <mergeCells count="1">
    <mergeCell ref="A3:Q3"/>
  </mergeCell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workbookViewId="0">
      <selection activeCell="H1" sqref="H1:H10"/>
    </sheetView>
  </sheetViews>
  <sheetFormatPr defaultRowHeight="15" x14ac:dyDescent="0.25"/>
  <cols>
    <col min="8" max="8" width="12.5703125" bestFit="1" customWidth="1"/>
  </cols>
  <sheetData>
    <row r="1" spans="1:8" ht="16.5" thickBot="1" x14ac:dyDescent="0.3">
      <c r="A1" s="41">
        <v>31964</v>
      </c>
      <c r="D1" s="41">
        <v>31964</v>
      </c>
      <c r="G1">
        <f>15858/462</f>
        <v>34.324675324675326</v>
      </c>
      <c r="H1" s="43">
        <f>G1*84</f>
        <v>2883.2727272727275</v>
      </c>
    </row>
    <row r="2" spans="1:8" ht="16.5" thickBot="1" x14ac:dyDescent="0.3">
      <c r="A2" s="42"/>
      <c r="D2" s="42">
        <v>8792</v>
      </c>
      <c r="H2" s="43">
        <f>G1*125</f>
        <v>4290.5844155844161</v>
      </c>
    </row>
    <row r="3" spans="1:8" ht="16.5" thickBot="1" x14ac:dyDescent="0.3">
      <c r="A3" s="42"/>
      <c r="D3" s="42">
        <v>22532</v>
      </c>
      <c r="H3" s="43">
        <f>85*G1</f>
        <v>2917.5974025974028</v>
      </c>
    </row>
    <row r="4" spans="1:8" ht="16.5" thickBot="1" x14ac:dyDescent="0.3">
      <c r="A4" s="42">
        <v>7072</v>
      </c>
      <c r="D4" s="42">
        <v>7072</v>
      </c>
      <c r="H4" s="43">
        <f>80*G1</f>
        <v>2745.9740259740261</v>
      </c>
    </row>
    <row r="5" spans="1:8" ht="16.5" thickBot="1" x14ac:dyDescent="0.3">
      <c r="A5" s="42">
        <v>18876</v>
      </c>
      <c r="D5" s="42">
        <v>18876</v>
      </c>
      <c r="H5" s="43">
        <f>24*G1</f>
        <v>823.79220779220782</v>
      </c>
    </row>
    <row r="6" spans="1:8" ht="16.5" thickBot="1" x14ac:dyDescent="0.3">
      <c r="A6" s="42">
        <v>46257</v>
      </c>
      <c r="D6" s="42">
        <v>46257</v>
      </c>
      <c r="H6" s="43">
        <f>12*G1</f>
        <v>411.89610389610391</v>
      </c>
    </row>
    <row r="7" spans="1:8" ht="16.5" thickBot="1" x14ac:dyDescent="0.3">
      <c r="A7" s="42">
        <v>13125</v>
      </c>
      <c r="D7" s="42">
        <v>13125</v>
      </c>
      <c r="H7" s="43">
        <f>G1*21</f>
        <v>720.81818181818187</v>
      </c>
    </row>
    <row r="8" spans="1:8" ht="16.5" thickBot="1" x14ac:dyDescent="0.3">
      <c r="A8" s="42"/>
      <c r="D8" s="42">
        <v>2940</v>
      </c>
      <c r="H8" s="43">
        <f>G1*13</f>
        <v>446.22077922077926</v>
      </c>
    </row>
    <row r="9" spans="1:8" ht="16.5" thickBot="1" x14ac:dyDescent="0.3">
      <c r="A9" s="42">
        <v>4576</v>
      </c>
      <c r="D9" s="42">
        <v>4576</v>
      </c>
      <c r="H9" s="43">
        <f>G1*18</f>
        <v>617.84415584415592</v>
      </c>
    </row>
    <row r="10" spans="1:8" ht="16.5" thickBot="1" x14ac:dyDescent="0.3">
      <c r="A10" s="42">
        <v>3930</v>
      </c>
      <c r="D10" s="42">
        <v>3930</v>
      </c>
      <c r="H10" s="43">
        <f>SUM(H1:H9)</f>
        <v>15858.000000000002</v>
      </c>
    </row>
    <row r="11" spans="1:8" ht="16.5" thickBot="1" x14ac:dyDescent="0.3">
      <c r="A11" s="42">
        <v>2100</v>
      </c>
      <c r="D11" s="42">
        <v>2100</v>
      </c>
    </row>
    <row r="12" spans="1:8" x14ac:dyDescent="0.25">
      <c r="A12">
        <f>SUM(A1:A11)</f>
        <v>127900</v>
      </c>
      <c r="D12">
        <f>SUM(D1:D11)</f>
        <v>162164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Лист2</vt:lpstr>
      <vt:lpstr>обобщена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2022-04-13T11:07:19Z</dcterms:modified>
</cp:coreProperties>
</file>